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bookViews>
    <workbookView xWindow="0" yWindow="0" windowWidth="41120" windowHeight="20240" tabRatio="500"/>
  </bookViews>
  <sheets>
    <sheet name="Local Trips" sheetId="1" r:id="rId1"/>
  </sheets>
  <definedNames>
    <definedName name="Z_6B483BB3_3408_4FCA_89BF_3CE7F0406EB3_.wvu.Rows" localSheetId="0" hidden="1">'Local Trips'!#REF!,'Local Trips'!#REF!,'Local Trips'!#REF!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M19" i="1" l="1"/>
  <c r="M18" i="1"/>
  <c r="N18" i="1"/>
  <c r="V18" i="1"/>
  <c r="V19" i="1"/>
  <c r="V20" i="1"/>
  <c r="I18" i="1"/>
  <c r="E6" i="1"/>
  <c r="E7" i="1"/>
  <c r="J18" i="1"/>
  <c r="L18" i="1"/>
  <c r="I13" i="1"/>
  <c r="I17" i="1"/>
  <c r="J17" i="1"/>
  <c r="I19" i="1"/>
  <c r="J19" i="1"/>
  <c r="J20" i="1"/>
  <c r="L20" i="1"/>
  <c r="R13" i="1"/>
  <c r="G20" i="1"/>
  <c r="K20" i="1"/>
  <c r="I20" i="1"/>
  <c r="F20" i="1"/>
  <c r="E20" i="1"/>
  <c r="U17" i="1"/>
  <c r="S18" i="1"/>
  <c r="U18" i="1"/>
  <c r="S19" i="1"/>
  <c r="U19" i="1"/>
  <c r="K19" i="1"/>
  <c r="L17" i="1"/>
  <c r="N17" i="1"/>
  <c r="L19" i="1"/>
  <c r="N19" i="1"/>
  <c r="D19" i="1"/>
  <c r="K18" i="1"/>
  <c r="D18" i="1"/>
  <c r="K17" i="1"/>
  <c r="D17" i="1"/>
  <c r="C6" i="1"/>
  <c r="C7" i="1"/>
  <c r="H6" i="1"/>
  <c r="H7" i="1"/>
  <c r="H9" i="1"/>
  <c r="G6" i="1"/>
  <c r="G7" i="1"/>
  <c r="G9" i="1"/>
  <c r="F6" i="1"/>
  <c r="F7" i="1"/>
  <c r="F9" i="1"/>
  <c r="E9" i="1"/>
  <c r="D6" i="1"/>
  <c r="D7" i="1"/>
  <c r="D9" i="1"/>
  <c r="C9" i="1"/>
  <c r="H8" i="1"/>
  <c r="G8" i="1"/>
  <c r="F8" i="1"/>
  <c r="E8" i="1"/>
  <c r="D8" i="1"/>
  <c r="C8" i="1"/>
</calcChain>
</file>

<file path=xl/comments1.xml><?xml version="1.0" encoding="utf-8"?>
<comments xmlns="http://schemas.openxmlformats.org/spreadsheetml/2006/main">
  <authors>
    <author>Andrew Chewter</author>
  </authors>
  <commentList>
    <comment ref="C6" authorId="0">
      <text>
        <r>
          <rPr>
            <b/>
            <sz val="9"/>
            <color indexed="81"/>
            <rFont val="Calibri"/>
            <family val="2"/>
          </rPr>
          <t>kootenayEVfamily.ca:</t>
        </r>
        <r>
          <rPr>
            <sz val="9"/>
            <color indexed="81"/>
            <rFont val="Calibri"/>
            <family val="2"/>
          </rPr>
          <t xml:space="preserve">
The base power consumption rate shown in each cell in this row was taken from the range chart on the MyNissanLeaf forum at http://www.mynissanleaf.com/viewtopic.php?f=31&amp;t=4295.  It then adds the power usage factors further to the right for climate control and hilly/windy factor.</t>
        </r>
      </text>
    </comment>
    <comment ref="N6" authorId="0">
      <text>
        <r>
          <rPr>
            <b/>
            <sz val="9"/>
            <color indexed="81"/>
            <rFont val="Calibri"/>
            <family val="2"/>
          </rPr>
          <t>kootenayEVfamily.ca:</t>
        </r>
        <r>
          <rPr>
            <sz val="9"/>
            <color indexed="81"/>
            <rFont val="Calibri"/>
            <family val="2"/>
          </rPr>
          <t xml:space="preserve">
My experience is that for my temperature climate, I tend to use little climate control energy in my 2014 SL (with the heat pump).  Winter is ~ 1.5kW, spring/fall 0.5 - 1kW, summer can vary widely, though most often 0kW, but when +30C, I might use 1kW for AC</t>
        </r>
      </text>
    </comment>
    <comment ref="N7" authorId="0">
      <text>
        <r>
          <rPr>
            <b/>
            <sz val="9"/>
            <color indexed="81"/>
            <rFont val="Calibri"/>
            <family val="2"/>
          </rPr>
          <t>kootenayEVfamily.ca:</t>
        </r>
        <r>
          <rPr>
            <sz val="9"/>
            <color indexed="81"/>
            <rFont val="Calibri"/>
            <family val="2"/>
          </rPr>
          <t xml:space="preserve">
This is the *wildcard* factor - I usually leave it at 0.3kW to provide some cushion.  If you have multiple bikes on the outside of the car, or a canoe on the roof, or cargo pod, you might set to 1kW for highway speeds (about 15% increase in consumption)</t>
        </r>
      </text>
    </comment>
    <comment ref="C9" authorId="0">
      <text>
        <r>
          <rPr>
            <b/>
            <sz val="9"/>
            <color indexed="81"/>
            <rFont val="Calibri"/>
            <family val="2"/>
          </rPr>
          <t>kootenayEVfamily.ca:</t>
        </r>
        <r>
          <rPr>
            <sz val="9"/>
            <color indexed="81"/>
            <rFont val="Calibri"/>
            <family val="2"/>
          </rPr>
          <t xml:space="preserve">
Calculated based on your current pack capacity you enter, with a 5% reserve</t>
        </r>
      </text>
    </comment>
    <comment ref="M9" authorId="0">
      <text>
        <r>
          <rPr>
            <b/>
            <sz val="9"/>
            <color indexed="81"/>
            <rFont val="Calibri"/>
            <family val="2"/>
          </rPr>
          <t>kootenayEVfamily.ca:</t>
        </r>
        <r>
          <rPr>
            <sz val="9"/>
            <color indexed="81"/>
            <rFont val="Calibri"/>
            <family val="2"/>
          </rPr>
          <t xml:space="preserve">
This value shouldn't be modified.  Increase it slightly if your car is heavily loaded.</t>
        </r>
      </text>
    </comment>
    <comment ref="P9" authorId="0">
      <text>
        <r>
          <rPr>
            <b/>
            <sz val="9"/>
            <color indexed="81"/>
            <rFont val="Calibri"/>
            <family val="2"/>
          </rPr>
          <t>kootenayEVfamily.ca:</t>
        </r>
        <r>
          <rPr>
            <sz val="9"/>
            <color indexed="81"/>
            <rFont val="Calibri"/>
            <family val="2"/>
          </rPr>
          <t xml:space="preserve">
At highway speeds and secondary highway speeds, I have found that the car regenerates quite a bit of energy, up to 1.2kW on the descent (vs 1.5kW on the ascent).  I typically plan on 1kW these days.  I used to only assume 0.8kW, but I routinely regenerated quite a bit more energy than that.</t>
        </r>
      </text>
    </comment>
    <comment ref="C11" authorId="0">
      <text>
        <r>
          <rPr>
            <b/>
            <sz val="9"/>
            <color indexed="81"/>
            <rFont val="Calibri"/>
            <family val="2"/>
          </rPr>
          <t>kootenayEVfamily.ca:</t>
        </r>
        <r>
          <rPr>
            <sz val="9"/>
            <color indexed="81"/>
            <rFont val="Calibri"/>
            <family val="2"/>
          </rPr>
          <t xml:space="preserve">
A brand-new Leaf is estimated to have 21.7kWh of energy available at 20C.  As the battery gets warmer, more energy is available to use, and the reverse is true as it gets colder.  The range chart noted above provides some factors you can use.
As your car ages, the battery naturally degrades somewhat.  I have chosen to use about 19kWh for this time of year and how old my car is.  Some internet sleuthing may show you how to calculate this value, but it is somewhat outside the scope of this tool (even though it is obviously an important value!).
If you want to know fairly exactly, purchase LeafSpyPro for your smartphone, and an OBD2 adapter to plug into your car - you will then be able to read the value for yourself.  Search the above terms to get yourself on the right track.</t>
        </r>
      </text>
    </comment>
    <comment ref="I13" authorId="0">
      <text>
        <r>
          <rPr>
            <b/>
            <sz val="9"/>
            <color indexed="81"/>
            <rFont val="Calibri"/>
            <family val="2"/>
          </rPr>
          <t>kootenayEVfamily.ca:</t>
        </r>
        <r>
          <rPr>
            <sz val="9"/>
            <color indexed="81"/>
            <rFont val="Calibri"/>
            <family val="2"/>
          </rPr>
          <t xml:space="preserve">
The amount of power charging the car battery when plugged into a regular wall outlet</t>
        </r>
      </text>
    </comment>
    <comment ref="O13" authorId="0">
      <text>
        <r>
          <rPr>
            <b/>
            <sz val="9"/>
            <color indexed="81"/>
            <rFont val="Calibri"/>
            <family val="2"/>
          </rPr>
          <t>kootenayEVfamily.ca:</t>
        </r>
        <r>
          <rPr>
            <sz val="9"/>
            <color indexed="81"/>
            <rFont val="Calibri"/>
            <family val="2"/>
          </rPr>
          <t xml:space="preserve">
Unless you purchase an after-market charger, you likely won't ever use this rate.</t>
        </r>
      </text>
    </comment>
    <comment ref="R13" authorId="0">
      <text>
        <r>
          <rPr>
            <b/>
            <sz val="9"/>
            <color indexed="81"/>
            <rFont val="Calibri"/>
            <family val="2"/>
          </rPr>
          <t>kootenayEVfamily.ca:</t>
        </r>
        <r>
          <rPr>
            <sz val="9"/>
            <color indexed="81"/>
            <rFont val="Calibri"/>
            <family val="2"/>
          </rPr>
          <t xml:space="preserve">
Typical public charging outlet</t>
        </r>
      </text>
    </comment>
    <comment ref="T13" authorId="0">
      <text>
        <r>
          <rPr>
            <b/>
            <sz val="9"/>
            <color indexed="81"/>
            <rFont val="Calibri"/>
            <family val="2"/>
          </rPr>
          <t>Andrew Chewter:</t>
        </r>
        <r>
          <rPr>
            <sz val="9"/>
            <color indexed="81"/>
            <rFont val="Calibri"/>
            <family val="2"/>
          </rPr>
          <t xml:space="preserve">
The Nissan LEAF and Mitsubishi iMiev can both use CHAdeMO connectors, which all of the Direct Current (sometimes called Quick Charge) stations provide in BC and the pacific NW so far.  Charges at about 35kW.  Has the ability to be from 25 - 50kW.
In real terms, takes a LEAF from 0-80% capacity in about 30mins.  Charging slows down for the last 20% and takes about another 15-20 mins.</t>
        </r>
      </text>
    </comment>
    <comment ref="U13" authorId="0">
      <text>
        <r>
          <rPr>
            <b/>
            <sz val="9"/>
            <color indexed="81"/>
            <rFont val="Calibri"/>
            <family val="2"/>
          </rPr>
          <t>kootenayEVfamily.ca:</t>
        </r>
        <r>
          <rPr>
            <sz val="9"/>
            <color indexed="81"/>
            <rFont val="Calibri"/>
            <family val="2"/>
          </rPr>
          <t xml:space="preserve">
This is approximately the average charge rate for a Nissan Leaf</t>
        </r>
      </text>
    </comment>
    <comment ref="E16" authorId="0">
      <text>
        <r>
          <rPr>
            <b/>
            <sz val="9"/>
            <color indexed="81"/>
            <rFont val="Calibri"/>
            <family val="2"/>
          </rPr>
          <t>kootenayEVfamily.ca:</t>
        </r>
        <r>
          <rPr>
            <sz val="9"/>
            <color indexed="81"/>
            <rFont val="Calibri"/>
            <family val="2"/>
          </rPr>
          <t xml:space="preserve">
Use Google Maps with the cycling option to figure out the elevation gained and lost for each segment; +- 10m is accurate enough</t>
        </r>
      </text>
    </comment>
    <comment ref="H16" authorId="0">
      <text>
        <r>
          <rPr>
            <b/>
            <sz val="9"/>
            <color indexed="81"/>
            <rFont val="Calibri"/>
            <family val="2"/>
          </rPr>
          <t>kootenayEVfamily.ca:</t>
        </r>
        <r>
          <rPr>
            <sz val="9"/>
            <color indexed="81"/>
            <rFont val="Calibri"/>
            <family val="2"/>
          </rPr>
          <t xml:space="preserve">
The formula assumes you are travelling at this speed most of the time.  My experience has shown that if you input the typical speed you expect to travel, you can sometimes exceed this, and will inevitably go slower than the speed chosen (traffic, going through towns, etc).</t>
        </r>
      </text>
    </comment>
    <comment ref="I16" authorId="0">
      <text>
        <r>
          <rPr>
            <b/>
            <sz val="9"/>
            <color indexed="81"/>
            <rFont val="Calibri"/>
            <family val="2"/>
          </rPr>
          <t>kootenayEVfamily.ca:</t>
        </r>
        <r>
          <rPr>
            <sz val="9"/>
            <color indexed="81"/>
            <rFont val="Calibri"/>
            <family val="2"/>
          </rPr>
          <t xml:space="preserve">
This column sorts out how much energy you will use due to elevation changes. If your segment starts at a high elevation and ends lower, you may actually gain energy, which is shown as a negative value.</t>
        </r>
      </text>
    </comment>
    <comment ref="J16" authorId="0">
      <text>
        <r>
          <rPr>
            <b/>
            <sz val="9"/>
            <color indexed="81"/>
            <rFont val="Calibri"/>
            <family val="2"/>
          </rPr>
          <t>kootenayEVfamily.ca:</t>
        </r>
        <r>
          <rPr>
            <sz val="9"/>
            <color indexed="81"/>
            <rFont val="Calibri"/>
            <family val="2"/>
          </rPr>
          <t xml:space="preserve">
This column adds the energy due to elevation, then looks at the distance and the speed travelled to determine the total energy estimated to be consumed by this leg of the journey.</t>
        </r>
      </text>
    </comment>
    <comment ref="K16" authorId="0">
      <text>
        <r>
          <rPr>
            <b/>
            <sz val="9"/>
            <color indexed="81"/>
            <rFont val="Calibri"/>
            <family val="2"/>
          </rPr>
          <t>kootenayEVfamily.ca:</t>
        </r>
        <r>
          <rPr>
            <sz val="9"/>
            <color indexed="81"/>
            <rFont val="Calibri"/>
            <family val="2"/>
          </rPr>
          <t xml:space="preserve">
The estimated efficiency for that leg - this the value you would expect to see on your car trip meter (if you reset it for each leg)</t>
        </r>
      </text>
    </comment>
    <comment ref="M16" authorId="0">
      <text>
        <r>
          <rPr>
            <b/>
            <sz val="9"/>
            <color indexed="81"/>
            <rFont val="Calibri"/>
            <family val="2"/>
          </rPr>
          <t>kootenayEVfamily.ca:</t>
        </r>
        <r>
          <rPr>
            <sz val="9"/>
            <color indexed="81"/>
            <rFont val="Calibri"/>
            <family val="2"/>
          </rPr>
          <t xml:space="preserve">
Manually enter the % you intend to charge to in whatever cell you need to</t>
        </r>
      </text>
    </comment>
    <comment ref="O16" authorId="0">
      <text>
        <r>
          <rPr>
            <b/>
            <sz val="9"/>
            <color indexed="81"/>
            <rFont val="Calibri"/>
            <family val="2"/>
          </rPr>
          <t>kootenayEVfamily.ca:</t>
        </r>
        <r>
          <rPr>
            <sz val="9"/>
            <color indexed="81"/>
            <rFont val="Calibri"/>
            <family val="2"/>
          </rPr>
          <t xml:space="preserve">
This is a manual entry field - typically you would charge to 100% at the end of each leg on a journey - if no charging is available, enter the same % as the predicated "% Battery @ End"</t>
        </r>
      </text>
    </comment>
    <comment ref="P16" authorId="0">
      <text>
        <r>
          <rPr>
            <b/>
            <sz val="9"/>
            <color indexed="81"/>
            <rFont val="Calibri"/>
            <family val="2"/>
          </rPr>
          <t xml:space="preserve">kootenayEVfamily.ca:
</t>
        </r>
        <r>
          <rPr>
            <sz val="9"/>
            <color indexed="81"/>
            <rFont val="Calibri"/>
            <family val="2"/>
          </rPr>
          <t>Exactly (capitals matter!) type Level 1, Level 1.5, Level 2, or Level 3, and the "Estimated Time to Charge" column will calculate correctly</t>
        </r>
      </text>
    </comment>
    <comment ref="Q16" authorId="0">
      <text>
        <r>
          <rPr>
            <b/>
            <sz val="9"/>
            <color indexed="81"/>
            <rFont val="Calibri"/>
            <family val="2"/>
          </rPr>
          <t>kootenayEVfamily.ca:</t>
        </r>
        <r>
          <rPr>
            <sz val="9"/>
            <color indexed="81"/>
            <rFont val="Calibri"/>
            <family val="2"/>
          </rPr>
          <t xml:space="preserve">
I use these two columns to keep track of multi-day trips</t>
        </r>
      </text>
    </comment>
    <comment ref="S16" authorId="0">
      <text>
        <r>
          <rPr>
            <b/>
            <sz val="9"/>
            <color indexed="81"/>
            <rFont val="Calibri"/>
            <family val="2"/>
          </rPr>
          <t>kootenayEVfamily.ca:</t>
        </r>
        <r>
          <rPr>
            <sz val="9"/>
            <color indexed="81"/>
            <rFont val="Calibri"/>
            <family val="2"/>
          </rPr>
          <t xml:space="preserve">
The first time entry is manual; subsequent ones calculate.  Over-ride as needed.</t>
        </r>
      </text>
    </comment>
    <comment ref="T16" authorId="0">
      <text>
        <r>
          <rPr>
            <b/>
            <sz val="9"/>
            <color indexed="81"/>
            <rFont val="Calibri"/>
            <family val="2"/>
          </rPr>
          <t>kootenayEVfamily.ca:</t>
        </r>
        <r>
          <rPr>
            <sz val="9"/>
            <color indexed="81"/>
            <rFont val="Calibri"/>
            <family val="2"/>
          </rPr>
          <t xml:space="preserve">
Manually enter this value.  I typically use the Google Maps estimate (for the car of course) - if I intend to travel a bit slower than the posted speed, or expect traffic, construction etc, I add some padding time.</t>
        </r>
      </text>
    </comment>
    <comment ref="V16" authorId="0">
      <text>
        <r>
          <rPr>
            <b/>
            <sz val="9"/>
            <color indexed="81"/>
            <rFont val="Calibri"/>
            <family val="2"/>
          </rPr>
          <t>kootenayEVfamily.ca:</t>
        </r>
        <r>
          <rPr>
            <sz val="9"/>
            <color indexed="81"/>
            <rFont val="Calibri"/>
            <family val="2"/>
          </rPr>
          <t xml:space="preserve">
Calculates based on the type of charger you enter in the previous column.  If you don't intend to fully recharge, change the target % in the previous column.
Sometimes I will add extra time here manually if I know I am going to spend a number of hourrs at a location, whether I'm charging or not.</t>
        </r>
      </text>
    </comment>
    <comment ref="W16" authorId="0">
      <text>
        <r>
          <rPr>
            <b/>
            <sz val="9"/>
            <color indexed="81"/>
            <rFont val="Calibri"/>
            <family val="2"/>
          </rPr>
          <t>kootenayEVfamily.ca:</t>
        </r>
        <r>
          <rPr>
            <sz val="9"/>
            <color indexed="81"/>
            <rFont val="Calibri"/>
            <family val="2"/>
          </rPr>
          <t xml:space="preserve">
For long trips where I am travelling somewhere I haven't been before, I research the chargers ahead of time on PlugShare.com and put in the charging company and whether or not I need a special card, fob, etc.</t>
        </r>
      </text>
    </comment>
    <comment ref="Y16" authorId="0">
      <text>
        <r>
          <rPr>
            <b/>
            <sz val="9"/>
            <color indexed="81"/>
            <rFont val="Calibri"/>
            <family val="2"/>
          </rPr>
          <t>kootenayEVfamily.ca:</t>
        </r>
        <r>
          <rPr>
            <sz val="9"/>
            <color indexed="81"/>
            <rFont val="Calibri"/>
            <family val="2"/>
          </rPr>
          <t xml:space="preserve">
Add any other relevant info here.  For trips I haven't been to with my EV before, I often include the phone number and/or address from PlugShare of locations I plan to charge at, or info of campgrounds/motels I am staying at.</t>
        </r>
      </text>
    </comment>
    <comment ref="C17" authorId="0">
      <text>
        <r>
          <rPr>
            <sz val="9"/>
            <color indexed="81"/>
            <rFont val="Calibri"/>
            <family val="2"/>
          </rPr>
          <t xml:space="preserve">
Entered manually</t>
        </r>
      </text>
    </comment>
    <comment ref="V17" authorId="0">
      <text>
        <r>
          <rPr>
            <b/>
            <sz val="9"/>
            <color indexed="81"/>
            <rFont val="Calibri"/>
            <family val="2"/>
          </rPr>
          <t>kootenayEVfamily.ca:</t>
        </r>
        <r>
          <rPr>
            <sz val="9"/>
            <color indexed="81"/>
            <rFont val="Calibri"/>
            <family val="2"/>
          </rPr>
          <t xml:space="preserve">
In this case I wasn't planning to charge, but I knew we would hang out at the beach a few hours, so I typed in the hours manually (be sure to type "3:00", or "4:30" or whatever.  (Not just "3")</t>
        </r>
      </text>
    </comment>
  </commentList>
</comments>
</file>

<file path=xl/sharedStrings.xml><?xml version="1.0" encoding="utf-8"?>
<sst xmlns="http://schemas.openxmlformats.org/spreadsheetml/2006/main" count="73" uniqueCount="65">
  <si>
    <t>Trip Planner for:</t>
  </si>
  <si>
    <t>Various Local Trips</t>
  </si>
  <si>
    <t>Car = 2014 Nissan Leaf</t>
  </si>
  <si>
    <t>Energy Usage for a given speed (incl. climate control and 'hilly' factor) - I believe this should be relatively conservative.</t>
  </si>
  <si>
    <r>
      <t>Calculated Values</t>
    </r>
    <r>
      <rPr>
        <sz val="8"/>
        <color theme="1"/>
        <rFont val="Calibri"/>
        <family val="2"/>
        <scheme val="minor"/>
      </rPr>
      <t xml:space="preserve"> are highlighted in grey shades</t>
    </r>
  </si>
  <si>
    <t>Speed (km/h)</t>
  </si>
  <si>
    <t>Additional power usage factors:</t>
  </si>
  <si>
    <t xml:space="preserve">Note:  </t>
  </si>
  <si>
    <t>Energy Usage (kW)</t>
  </si>
  <si>
    <r>
      <t xml:space="preserve">Climate control </t>
    </r>
    <r>
      <rPr>
        <b/>
        <sz val="8"/>
        <color theme="1"/>
        <rFont val="Calibri"/>
        <family val="2"/>
        <scheme val="minor"/>
      </rPr>
      <t>for fall</t>
    </r>
    <r>
      <rPr>
        <sz val="8"/>
        <color theme="1"/>
        <rFont val="Calibri"/>
        <family val="2"/>
        <scheme val="minor"/>
      </rPr>
      <t xml:space="preserve"> assumed at:</t>
    </r>
  </si>
  <si>
    <t>kW or less</t>
  </si>
  <si>
    <t>I did not account for the increase in range with elevation (ie less air density), this correction factor is 1.5% extra range for every 300m.</t>
  </si>
  <si>
    <t>Efficiency (km/kWh)</t>
  </si>
  <si>
    <t>Hilly/windy factor assumed at:</t>
  </si>
  <si>
    <t>kW</t>
  </si>
  <si>
    <t>For example, between Anarchist and dropping down to Rock Creek, you are on a plateau about 1200m high; therefore extra 6% range!</t>
  </si>
  <si>
    <t>Efficiency (kWh/100km)</t>
  </si>
  <si>
    <t>Other energy usage factors:</t>
  </si>
  <si>
    <t>Nor have I corrected for battery pack temperature on energy available from the battery (beyond the value shown below anyways).</t>
  </si>
  <si>
    <t>Max Range [100% to VLB (5%)]</t>
  </si>
  <si>
    <t>Climb 300m:</t>
  </si>
  <si>
    <t>kWh Descent of 300m:</t>
  </si>
  <si>
    <t>kWh</t>
  </si>
  <si>
    <t xml:space="preserve">Usable Battery Pack Capacity </t>
  </si>
  <si>
    <t>Charging rates (delivered to the car, accounting for charger efficiency)</t>
  </si>
  <si>
    <t>(for my 1.5 year old car, plus ambient temp. approximate correction)</t>
  </si>
  <si>
    <t>Level 1</t>
  </si>
  <si>
    <t>Level 1.5</t>
  </si>
  <si>
    <t>Level 2</t>
  </si>
  <si>
    <t>Level 3 - DCFC</t>
  </si>
  <si>
    <t>120V 12A</t>
  </si>
  <si>
    <t xml:space="preserve">120V 24A </t>
  </si>
  <si>
    <t>240V 28A charge</t>
  </si>
  <si>
    <t>440V 80A</t>
  </si>
  <si>
    <t>Estimated…</t>
  </si>
  <si>
    <t>Leg of journey</t>
  </si>
  <si>
    <t>Start Elevation (m)</t>
  </si>
  <si>
    <t>Finish Elevation (m)</t>
  </si>
  <si>
    <t>Elevation Gained (m)</t>
  </si>
  <si>
    <t>Elevation Lost (m)</t>
  </si>
  <si>
    <t>Distance (km)</t>
  </si>
  <si>
    <t>Avg Speed for Trip Segment (km/h)</t>
  </si>
  <si>
    <t>kWh used (gained) from elevation</t>
  </si>
  <si>
    <t>kWh used total</t>
  </si>
  <si>
    <t>Battery Used (%)</t>
  </si>
  <si>
    <t>% Battery @ Start</t>
  </si>
  <si>
    <t>% Battery @ End</t>
  </si>
  <si>
    <t>Type of Charger (dest.)</t>
  </si>
  <si>
    <t>Date</t>
  </si>
  <si>
    <t>Day # (of driving)</t>
  </si>
  <si>
    <t>Time Left</t>
  </si>
  <si>
    <t>Travel Time (hr)</t>
  </si>
  <si>
    <t>Time Arrived</t>
  </si>
  <si>
    <t>Estimated Time to Charge</t>
  </si>
  <si>
    <t>Charge Station Company</t>
  </si>
  <si>
    <t>Special Card Needed?</t>
  </si>
  <si>
    <t>Comments</t>
  </si>
  <si>
    <t>Nelson to Fletcher Falls</t>
  </si>
  <si>
    <t>No charging at Fletcher Falls (unless we meet the Volt people... ?) - picnic at the beach, see the falls</t>
  </si>
  <si>
    <t>Fletcher Falls to Ainsworth Hot Springs</t>
  </si>
  <si>
    <t>Would be good to charge at Ainsworth - I emailed ahead, they have some 15A outlets on pillars (are these for block heaters?  May not work...)</t>
  </si>
  <si>
    <t>Ainsworth to Nelson</t>
  </si>
  <si>
    <t>Totals</t>
  </si>
  <si>
    <t>Time to fully charge once back home</t>
  </si>
  <si>
    <t>Target % to charge 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</si>
</sst>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7" x14ac:knownFonts="1">
    <font>
      <sz val="11"/>
      <color theme="1"/>
      <name val="Calibri"/>
      <family val="2"/>
      <scheme val="minor"/>
    </font>
    <font>
      <b/>
      <sz val="12"/>
      <color theme="1"/>
      <name val="Calibri"/>
      <family val="2"/>
      <scheme val="minor"/>
    </font>
    <font>
      <sz val="11"/>
      <color theme="1"/>
      <name val="Calibri"/>
      <family val="2"/>
      <scheme val="minor"/>
    </font>
    <font>
      <b/>
      <sz val="16"/>
      <color theme="1"/>
      <name val="Calibri"/>
      <family val="2"/>
      <scheme val="minor"/>
    </font>
    <font>
      <sz val="8"/>
      <color theme="1"/>
      <name val="Calibri"/>
      <family val="2"/>
      <scheme val="minor"/>
    </font>
    <font>
      <b/>
      <sz val="8"/>
      <color theme="1"/>
      <name val="Calibri"/>
      <family val="2"/>
      <scheme val="minor"/>
    </font>
    <font>
      <i/>
      <u/>
      <sz val="8"/>
      <color theme="1"/>
      <name val="Calibri"/>
      <family val="2"/>
      <scheme val="minor"/>
    </font>
    <font>
      <b/>
      <sz val="8"/>
      <name val="Calibri"/>
      <family val="2"/>
      <scheme val="minor"/>
    </font>
    <font>
      <i/>
      <sz val="8"/>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sz val="11"/>
      <name val="Calibri"/>
      <family val="2"/>
      <scheme val="minor"/>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6">
    <xf numFmtId="0" fontId="0"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16">
    <xf numFmtId="0" fontId="0" fillId="0" borderId="0" xfId="0"/>
    <xf numFmtId="0" fontId="0" fillId="2" borderId="0" xfId="0" applyFill="1" applyBorder="1"/>
    <xf numFmtId="0" fontId="0" fillId="2" borderId="0" xfId="0" applyFill="1" applyAlignment="1">
      <alignment wrapText="1"/>
    </xf>
    <xf numFmtId="0" fontId="0" fillId="2" borderId="0" xfId="0" applyFill="1"/>
    <xf numFmtId="9" fontId="0" fillId="2" borderId="0" xfId="1" applyFont="1" applyFill="1"/>
    <xf numFmtId="164" fontId="0" fillId="2" borderId="0" xfId="0" applyNumberFormat="1" applyFill="1"/>
    <xf numFmtId="0" fontId="3" fillId="2" borderId="0" xfId="0" applyFont="1" applyFill="1" applyAlignment="1"/>
    <xf numFmtId="9" fontId="3" fillId="2" borderId="0" xfId="1" applyFont="1" applyFill="1"/>
    <xf numFmtId="0" fontId="1" fillId="2" borderId="0" xfId="0" applyFont="1" applyFill="1" applyAlignment="1"/>
    <xf numFmtId="0" fontId="4" fillId="2" borderId="0" xfId="0" applyFont="1" applyFill="1" applyBorder="1"/>
    <xf numFmtId="0" fontId="5" fillId="2" borderId="1" xfId="0" applyFont="1" applyFill="1" applyBorder="1" applyAlignment="1"/>
    <xf numFmtId="0" fontId="4" fillId="2" borderId="2" xfId="0" applyFont="1" applyFill="1" applyBorder="1" applyAlignment="1">
      <alignment wrapText="1"/>
    </xf>
    <xf numFmtId="0" fontId="4" fillId="2" borderId="2" xfId="0" applyFont="1" applyFill="1" applyBorder="1"/>
    <xf numFmtId="9" fontId="4" fillId="2" borderId="2" xfId="1" applyFont="1" applyFill="1" applyBorder="1"/>
    <xf numFmtId="164" fontId="4" fillId="2" borderId="2" xfId="0" applyNumberFormat="1" applyFont="1" applyFill="1" applyBorder="1"/>
    <xf numFmtId="0" fontId="4" fillId="2" borderId="2" xfId="0" applyFont="1" applyFill="1" applyBorder="1" applyAlignment="1">
      <alignment horizontal="left" vertical="center"/>
    </xf>
    <xf numFmtId="0" fontId="5" fillId="3" borderId="2" xfId="0" applyFont="1" applyFill="1" applyBorder="1" applyAlignment="1">
      <alignment horizontal="left" vertical="center"/>
    </xf>
    <xf numFmtId="0" fontId="4" fillId="3" borderId="2" xfId="0" applyFont="1" applyFill="1" applyBorder="1" applyAlignment="1">
      <alignment wrapText="1"/>
    </xf>
    <xf numFmtId="0" fontId="4" fillId="2" borderId="3" xfId="0" applyFont="1" applyFill="1" applyBorder="1" applyAlignment="1">
      <alignment wrapText="1"/>
    </xf>
    <xf numFmtId="0" fontId="4" fillId="0" borderId="0" xfId="0" applyFont="1"/>
    <xf numFmtId="0" fontId="4" fillId="2" borderId="0" xfId="0" applyFont="1" applyFill="1" applyBorder="1" applyAlignment="1">
      <alignment wrapText="1"/>
    </xf>
    <xf numFmtId="9" fontId="6" fillId="2" borderId="0" xfId="1" applyFont="1" applyFill="1" applyBorder="1"/>
    <xf numFmtId="9" fontId="4" fillId="2" borderId="0" xfId="1" applyFont="1" applyFill="1" applyBorder="1"/>
    <xf numFmtId="0" fontId="5" fillId="2" borderId="0" xfId="0" applyFont="1" applyFill="1" applyBorder="1"/>
    <xf numFmtId="164" fontId="4" fillId="2" borderId="0" xfId="0" applyNumberFormat="1" applyFont="1" applyFill="1" applyBorder="1"/>
    <xf numFmtId="0" fontId="4" fillId="2" borderId="4" xfId="0" applyFont="1" applyFill="1" applyBorder="1"/>
    <xf numFmtId="0" fontId="4" fillId="2" borderId="0" xfId="0" applyFont="1" applyFill="1"/>
    <xf numFmtId="0" fontId="5" fillId="2" borderId="0" xfId="0" applyFont="1" applyFill="1" applyBorder="1" applyAlignment="1"/>
    <xf numFmtId="2" fontId="4" fillId="2" borderId="0" xfId="0" applyNumberFormat="1" applyFont="1" applyFill="1" applyBorder="1" applyAlignment="1">
      <alignment wrapText="1"/>
    </xf>
    <xf numFmtId="0" fontId="7" fillId="2" borderId="0" xfId="0" applyFont="1" applyFill="1" applyBorder="1"/>
    <xf numFmtId="0" fontId="8" fillId="2" borderId="0" xfId="0" applyFont="1" applyFill="1"/>
    <xf numFmtId="0" fontId="4" fillId="2" borderId="3" xfId="0" applyFont="1" applyFill="1" applyBorder="1" applyAlignment="1"/>
    <xf numFmtId="9" fontId="6" fillId="0" borderId="0" xfId="1" applyFont="1"/>
    <xf numFmtId="9" fontId="4" fillId="0" borderId="0" xfId="1" applyFont="1"/>
    <xf numFmtId="9" fontId="4" fillId="2" borderId="0" xfId="1" applyFont="1" applyFill="1"/>
    <xf numFmtId="164" fontId="4" fillId="2" borderId="0" xfId="0" applyNumberFormat="1" applyFont="1" applyFill="1"/>
    <xf numFmtId="0" fontId="4" fillId="2" borderId="5" xfId="0" applyFont="1" applyFill="1" applyBorder="1" applyAlignment="1">
      <alignment wrapText="1"/>
    </xf>
    <xf numFmtId="1" fontId="4" fillId="2" borderId="6" xfId="0" applyNumberFormat="1" applyFont="1" applyFill="1" applyBorder="1" applyAlignment="1">
      <alignment wrapText="1"/>
    </xf>
    <xf numFmtId="0" fontId="4" fillId="2" borderId="6" xfId="0" applyFont="1" applyFill="1" applyBorder="1"/>
    <xf numFmtId="9" fontId="4" fillId="2" borderId="6" xfId="1" applyFont="1" applyFill="1" applyBorder="1"/>
    <xf numFmtId="164" fontId="4" fillId="0" borderId="6" xfId="0" applyNumberFormat="1" applyFont="1" applyBorder="1"/>
    <xf numFmtId="164" fontId="4" fillId="2" borderId="6" xfId="0" applyNumberFormat="1" applyFont="1" applyFill="1" applyBorder="1"/>
    <xf numFmtId="0" fontId="4" fillId="0" borderId="6" xfId="0" applyFont="1" applyFill="1" applyBorder="1" applyAlignment="1">
      <alignment wrapText="1"/>
    </xf>
    <xf numFmtId="0" fontId="4" fillId="2" borderId="6" xfId="0" applyFont="1" applyFill="1" applyBorder="1" applyAlignment="1">
      <alignment wrapText="1"/>
    </xf>
    <xf numFmtId="9" fontId="9" fillId="2" borderId="0" xfId="1" applyFont="1" applyFill="1"/>
    <xf numFmtId="0" fontId="0" fillId="2" borderId="0" xfId="0" applyFill="1" applyAlignment="1">
      <alignment horizontal="right"/>
    </xf>
    <xf numFmtId="0" fontId="1" fillId="2" borderId="7" xfId="0" applyFont="1" applyFill="1" applyBorder="1"/>
    <xf numFmtId="0" fontId="0" fillId="0" borderId="8" xfId="0" applyBorder="1"/>
    <xf numFmtId="9" fontId="0" fillId="0" borderId="8" xfId="1" applyFont="1" applyBorder="1"/>
    <xf numFmtId="164" fontId="0" fillId="0" borderId="8" xfId="0" applyNumberFormat="1" applyBorder="1"/>
    <xf numFmtId="0" fontId="0" fillId="0" borderId="8" xfId="0" applyFill="1" applyBorder="1" applyAlignment="1">
      <alignment wrapText="1"/>
    </xf>
    <xf numFmtId="0" fontId="0" fillId="0" borderId="9" xfId="0" applyFill="1" applyBorder="1" applyAlignment="1">
      <alignment wrapText="1"/>
    </xf>
    <xf numFmtId="0" fontId="1" fillId="2" borderId="10" xfId="0" applyFont="1" applyFill="1" applyBorder="1" applyAlignment="1">
      <alignment vertical="top"/>
    </xf>
    <xf numFmtId="9" fontId="10" fillId="2" borderId="0" xfId="1" applyFont="1" applyFill="1" applyBorder="1"/>
    <xf numFmtId="9" fontId="9" fillId="2" borderId="0" xfId="1" applyFont="1" applyFill="1" applyBorder="1"/>
    <xf numFmtId="0" fontId="10" fillId="2" borderId="0" xfId="0" applyFont="1" applyFill="1" applyBorder="1"/>
    <xf numFmtId="0" fontId="0" fillId="2" borderId="0" xfId="0" applyFill="1" applyBorder="1" applyAlignment="1">
      <alignment wrapText="1"/>
    </xf>
    <xf numFmtId="164" fontId="0" fillId="2" borderId="0" xfId="0" applyNumberFormat="1" applyFill="1" applyBorder="1"/>
    <xf numFmtId="0" fontId="0" fillId="2" borderId="11" xfId="0" applyFill="1" applyBorder="1" applyAlignment="1">
      <alignment wrapText="1"/>
    </xf>
    <xf numFmtId="0" fontId="1" fillId="2" borderId="12" xfId="0" applyFont="1" applyFill="1" applyBorder="1" applyAlignment="1">
      <alignment vertical="top"/>
    </xf>
    <xf numFmtId="164" fontId="0" fillId="2" borderId="13" xfId="0" applyNumberFormat="1" applyFont="1" applyFill="1" applyBorder="1"/>
    <xf numFmtId="165" fontId="0" fillId="2" borderId="13" xfId="0" applyNumberFormat="1" applyFill="1" applyBorder="1"/>
    <xf numFmtId="0" fontId="0" fillId="2" borderId="13" xfId="0" applyFill="1" applyBorder="1"/>
    <xf numFmtId="9" fontId="0" fillId="2" borderId="13" xfId="1" applyFont="1" applyFill="1" applyBorder="1"/>
    <xf numFmtId="0" fontId="0" fillId="2" borderId="13" xfId="0" applyFont="1" applyFill="1" applyBorder="1"/>
    <xf numFmtId="0" fontId="9" fillId="2" borderId="13" xfId="0" applyFont="1"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0" fillId="2" borderId="0" xfId="0" applyFill="1" applyAlignment="1">
      <alignment horizontal="left"/>
    </xf>
    <xf numFmtId="164" fontId="9" fillId="2" borderId="0" xfId="0" applyNumberFormat="1" applyFont="1" applyFill="1"/>
    <xf numFmtId="0" fontId="9" fillId="2" borderId="0" xfId="0" applyFont="1" applyFill="1"/>
    <xf numFmtId="0" fontId="9" fillId="2" borderId="0" xfId="0" applyFont="1" applyFill="1" applyAlignment="1">
      <alignment wrapText="1"/>
    </xf>
    <xf numFmtId="0" fontId="3" fillId="2" borderId="15" xfId="0" applyFont="1" applyFill="1" applyBorder="1" applyAlignment="1"/>
    <xf numFmtId="0" fontId="0" fillId="2" borderId="16" xfId="0" applyFill="1" applyBorder="1"/>
    <xf numFmtId="164" fontId="9" fillId="2" borderId="16" xfId="0" applyNumberFormat="1" applyFont="1" applyFill="1" applyBorder="1"/>
    <xf numFmtId="0" fontId="9" fillId="2" borderId="16" xfId="0" applyFont="1" applyFill="1" applyBorder="1"/>
    <xf numFmtId="0" fontId="9" fillId="2" borderId="16" xfId="0" applyFont="1" applyFill="1" applyBorder="1" applyAlignment="1">
      <alignment wrapText="1"/>
    </xf>
    <xf numFmtId="0" fontId="0" fillId="2" borderId="17" xfId="0" applyFill="1" applyBorder="1" applyAlignment="1">
      <alignment wrapText="1"/>
    </xf>
    <xf numFmtId="0" fontId="9" fillId="2" borderId="0" xfId="0" applyFont="1" applyFill="1" applyBorder="1"/>
    <xf numFmtId="0" fontId="11" fillId="2" borderId="18" xfId="0" applyFont="1" applyFill="1" applyBorder="1" applyAlignment="1">
      <alignment wrapText="1"/>
    </xf>
    <xf numFmtId="0" fontId="11" fillId="2" borderId="19" xfId="0" applyFont="1" applyFill="1" applyBorder="1" applyAlignment="1">
      <alignment wrapText="1"/>
    </xf>
    <xf numFmtId="0" fontId="11" fillId="2" borderId="20" xfId="0" applyFont="1" applyFill="1" applyBorder="1" applyAlignment="1">
      <alignment wrapText="1"/>
    </xf>
    <xf numFmtId="9" fontId="11" fillId="2" borderId="20" xfId="1" applyFont="1" applyFill="1" applyBorder="1" applyAlignment="1">
      <alignment wrapText="1"/>
    </xf>
    <xf numFmtId="164" fontId="11" fillId="2" borderId="20" xfId="0" applyNumberFormat="1" applyFont="1" applyFill="1" applyBorder="1" applyAlignment="1">
      <alignment wrapText="1"/>
    </xf>
    <xf numFmtId="0" fontId="11" fillId="2" borderId="21" xfId="0" applyFont="1" applyFill="1" applyBorder="1" applyAlignment="1">
      <alignment wrapText="1"/>
    </xf>
    <xf numFmtId="0" fontId="0" fillId="2" borderId="23" xfId="0" applyFill="1" applyBorder="1" applyAlignment="1">
      <alignment wrapText="1"/>
    </xf>
    <xf numFmtId="0" fontId="0" fillId="2" borderId="23" xfId="0" applyFill="1" applyBorder="1"/>
    <xf numFmtId="2" fontId="0" fillId="2" borderId="23" xfId="0" applyNumberFormat="1" applyFill="1" applyBorder="1" applyAlignment="1">
      <alignment wrapText="1"/>
    </xf>
    <xf numFmtId="9" fontId="0" fillId="2" borderId="23" xfId="1" applyFont="1" applyFill="1" applyBorder="1"/>
    <xf numFmtId="164" fontId="0" fillId="2" borderId="23" xfId="0" applyNumberFormat="1" applyFill="1" applyBorder="1"/>
    <xf numFmtId="0" fontId="0" fillId="2" borderId="22" xfId="0" applyFill="1" applyBorder="1" applyAlignment="1">
      <alignment wrapText="1"/>
    </xf>
    <xf numFmtId="0" fontId="0" fillId="4" borderId="23" xfId="0" applyFill="1" applyBorder="1" applyAlignment="1">
      <alignment wrapText="1"/>
    </xf>
    <xf numFmtId="2" fontId="0" fillId="3" borderId="23" xfId="0" applyNumberFormat="1" applyFill="1" applyBorder="1" applyAlignment="1">
      <alignment wrapText="1"/>
    </xf>
    <xf numFmtId="9" fontId="0" fillId="4" borderId="23" xfId="1" applyFont="1" applyFill="1" applyBorder="1"/>
    <xf numFmtId="9" fontId="0" fillId="3" borderId="23" xfId="1" applyFont="1" applyFill="1" applyBorder="1"/>
    <xf numFmtId="2" fontId="0" fillId="4" borderId="23" xfId="1" applyNumberFormat="1" applyFont="1" applyFill="1" applyBorder="1"/>
    <xf numFmtId="16" fontId="0" fillId="2" borderId="23" xfId="0" applyNumberFormat="1" applyFill="1" applyBorder="1" applyAlignment="1">
      <alignment wrapText="1"/>
    </xf>
    <xf numFmtId="20" fontId="0" fillId="2" borderId="23" xfId="0" applyNumberFormat="1" applyFill="1" applyBorder="1"/>
    <xf numFmtId="164" fontId="0" fillId="4" borderId="23" xfId="0" applyNumberFormat="1" applyFill="1" applyBorder="1"/>
    <xf numFmtId="164" fontId="0" fillId="2" borderId="23" xfId="0" applyNumberFormat="1" applyFill="1" applyBorder="1" applyAlignment="1">
      <alignment wrapText="1"/>
    </xf>
    <xf numFmtId="0" fontId="0" fillId="0" borderId="24" xfId="0" applyFill="1" applyBorder="1" applyAlignment="1">
      <alignment wrapText="1"/>
    </xf>
    <xf numFmtId="164" fontId="0" fillId="0" borderId="23" xfId="0" applyNumberFormat="1" applyFill="1" applyBorder="1"/>
    <xf numFmtId="0" fontId="0" fillId="2" borderId="22" xfId="0" applyFont="1" applyFill="1" applyBorder="1" applyAlignment="1">
      <alignment wrapText="1"/>
    </xf>
    <xf numFmtId="165" fontId="0" fillId="3" borderId="23" xfId="0" applyNumberFormat="1" applyFill="1" applyBorder="1" applyAlignment="1">
      <alignment wrapText="1"/>
    </xf>
    <xf numFmtId="9" fontId="12" fillId="4" borderId="23" xfId="1" applyFont="1" applyFill="1" applyBorder="1"/>
    <xf numFmtId="165" fontId="0" fillId="4" borderId="23" xfId="1" applyNumberFormat="1" applyFont="1" applyFill="1" applyBorder="1"/>
    <xf numFmtId="16" fontId="0" fillId="2" borderId="23" xfId="0" applyNumberFormat="1" applyFill="1" applyBorder="1"/>
    <xf numFmtId="164" fontId="9" fillId="4" borderId="23" xfId="0" applyNumberFormat="1" applyFont="1" applyFill="1" applyBorder="1"/>
    <xf numFmtId="0" fontId="9" fillId="2" borderId="22" xfId="0" applyFont="1" applyFill="1" applyBorder="1" applyAlignment="1">
      <alignment wrapText="1"/>
    </xf>
    <xf numFmtId="9" fontId="12" fillId="3" borderId="23" xfId="1" applyFont="1" applyFill="1" applyBorder="1"/>
    <xf numFmtId="0" fontId="0" fillId="0" borderId="0" xfId="0" applyAlignment="1">
      <alignment wrapText="1"/>
    </xf>
    <xf numFmtId="9" fontId="0" fillId="0" borderId="0" xfId="1" applyFont="1"/>
    <xf numFmtId="164" fontId="0" fillId="0" borderId="0" xfId="0" applyNumberFormat="1"/>
    <xf numFmtId="0" fontId="0" fillId="0" borderId="0" xfId="0" applyFill="1" applyAlignment="1">
      <alignment wrapText="1"/>
    </xf>
    <xf numFmtId="9" fontId="0" fillId="0" borderId="23" xfId="1" applyFont="1" applyFill="1" applyBorder="1"/>
    <xf numFmtId="9" fontId="12" fillId="2" borderId="23" xfId="1" applyFont="1" applyFill="1" applyBorder="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A20"/>
  <sheetViews>
    <sheetView tabSelected="1" zoomScale="125" zoomScaleNormal="125" zoomScaleSheetLayoutView="85" zoomScalePageLayoutView="125" workbookViewId="0">
      <pane ySplit="16" topLeftCell="A17" activePane="bottomLeft" state="frozen"/>
      <selection pane="bottomLeft" activeCell="Z26" sqref="Z26"/>
    </sheetView>
  </sheetViews>
  <sheetFormatPr baseColWidth="10" defaultColWidth="8.83203125" defaultRowHeight="14" x14ac:dyDescent="0"/>
  <cols>
    <col min="1" max="1" width="1.1640625" style="1" customWidth="1"/>
    <col min="2" max="2" width="23.83203125" style="110" customWidth="1"/>
    <col min="3" max="3" width="8.5" style="110" customWidth="1"/>
    <col min="4" max="4" width="8.83203125" style="110" customWidth="1"/>
    <col min="5" max="5" width="8.1640625" style="110" customWidth="1"/>
    <col min="6" max="7" width="8.1640625" customWidth="1"/>
    <col min="8" max="8" width="11" bestFit="1" customWidth="1"/>
    <col min="9" max="9" width="8.6640625" customWidth="1"/>
    <col min="10" max="10" width="5.83203125" style="111" customWidth="1"/>
    <col min="11" max="11" width="8.1640625" style="111" customWidth="1"/>
    <col min="12" max="13" width="7.1640625" style="111" customWidth="1"/>
    <col min="14" max="15" width="9" customWidth="1"/>
    <col min="16" max="16" width="8.1640625" customWidth="1"/>
    <col min="17" max="17" width="7.83203125" customWidth="1"/>
    <col min="18" max="18" width="6.6640625" customWidth="1"/>
    <col min="19" max="19" width="9.83203125" style="112" customWidth="1"/>
    <col min="20" max="20" width="8.83203125" bestFit="1" customWidth="1"/>
    <col min="21" max="21" width="10.1640625" style="113" customWidth="1"/>
    <col min="22" max="22" width="12.1640625" style="113" customWidth="1"/>
    <col min="23" max="23" width="11.83203125" style="110" customWidth="1"/>
    <col min="24" max="24" width="12.83203125" customWidth="1"/>
    <col min="25" max="25" width="43" customWidth="1"/>
    <col min="26" max="26" width="64.33203125" customWidth="1"/>
    <col min="27" max="27" width="16.83203125" customWidth="1"/>
    <col min="28" max="29" width="15.1640625" customWidth="1"/>
  </cols>
  <sheetData>
    <row r="1" spans="1:26" ht="1.75" customHeight="1">
      <c r="B1" s="2"/>
      <c r="C1" s="2"/>
      <c r="D1" s="2"/>
      <c r="E1" s="2"/>
      <c r="F1" s="3"/>
      <c r="G1" s="3"/>
      <c r="H1" s="3"/>
      <c r="I1" s="3"/>
      <c r="J1" s="4"/>
      <c r="K1" s="4"/>
      <c r="L1" s="4"/>
      <c r="M1" s="4"/>
      <c r="N1" s="3"/>
      <c r="O1" s="3"/>
      <c r="P1" s="3"/>
      <c r="Q1" s="3"/>
      <c r="R1" s="3"/>
      <c r="S1" s="5"/>
      <c r="T1" s="3"/>
      <c r="U1" s="2"/>
      <c r="V1" s="2"/>
      <c r="W1" s="2"/>
      <c r="X1" s="3"/>
      <c r="Y1" s="3"/>
    </row>
    <row r="2" spans="1:26" ht="20">
      <c r="B2" s="6" t="s">
        <v>0</v>
      </c>
      <c r="C2" s="3"/>
      <c r="D2" s="7" t="s">
        <v>1</v>
      </c>
      <c r="E2" s="2"/>
      <c r="F2" s="3"/>
      <c r="G2" s="3"/>
      <c r="H2" s="3"/>
      <c r="I2" s="3"/>
      <c r="J2" s="3"/>
      <c r="K2" s="3"/>
      <c r="L2" s="3"/>
      <c r="M2" s="3"/>
      <c r="N2" s="3"/>
      <c r="O2" s="5"/>
      <c r="P2" s="3"/>
      <c r="Q2" s="8" t="s">
        <v>2</v>
      </c>
      <c r="R2" s="3"/>
      <c r="S2" s="3"/>
      <c r="T2" s="3"/>
      <c r="U2" s="2"/>
      <c r="V2" s="2"/>
      <c r="W2" s="3"/>
      <c r="X2" s="3"/>
      <c r="Y2" s="3"/>
    </row>
    <row r="3" spans="1:26" ht="3.5" customHeight="1" thickBot="1">
      <c r="B3" s="2"/>
      <c r="C3" s="2"/>
      <c r="D3" s="2"/>
      <c r="E3" s="2"/>
      <c r="F3" s="3"/>
      <c r="G3" s="3"/>
      <c r="H3" s="7"/>
      <c r="I3" s="7"/>
      <c r="J3" s="3"/>
      <c r="K3" s="3"/>
      <c r="L3" s="3"/>
      <c r="M3" s="3"/>
      <c r="N3" s="3"/>
      <c r="O3" s="3"/>
      <c r="P3" s="3"/>
      <c r="Q3" s="3"/>
      <c r="R3" s="5"/>
      <c r="S3" s="3"/>
      <c r="T3" s="2"/>
      <c r="U3" s="2"/>
      <c r="V3" s="2"/>
      <c r="W3" s="3"/>
      <c r="X3" s="3"/>
      <c r="Y3" s="3"/>
    </row>
    <row r="4" spans="1:26" s="19" customFormat="1" ht="11">
      <c r="A4" s="9"/>
      <c r="B4" s="10" t="s">
        <v>3</v>
      </c>
      <c r="C4" s="11"/>
      <c r="D4" s="11"/>
      <c r="E4" s="11"/>
      <c r="F4" s="12"/>
      <c r="G4" s="12"/>
      <c r="H4" s="13"/>
      <c r="I4" s="13"/>
      <c r="J4" s="12"/>
      <c r="K4" s="12"/>
      <c r="L4" s="12"/>
      <c r="M4" s="12"/>
      <c r="N4" s="12"/>
      <c r="O4" s="12"/>
      <c r="P4" s="12"/>
      <c r="Q4" s="12"/>
      <c r="R4" s="12"/>
      <c r="S4" s="14"/>
      <c r="T4" s="15"/>
      <c r="U4" s="16" t="s">
        <v>4</v>
      </c>
      <c r="V4" s="17"/>
      <c r="W4" s="16"/>
      <c r="X4" s="18"/>
    </row>
    <row r="5" spans="1:26" s="19" customFormat="1" ht="11">
      <c r="A5" s="9"/>
      <c r="B5" s="18" t="s">
        <v>5</v>
      </c>
      <c r="C5" s="20">
        <v>56</v>
      </c>
      <c r="D5" s="20">
        <v>64</v>
      </c>
      <c r="E5" s="20">
        <v>72</v>
      </c>
      <c r="F5" s="20">
        <v>81</v>
      </c>
      <c r="G5" s="20">
        <v>91</v>
      </c>
      <c r="H5" s="20">
        <v>101</v>
      </c>
      <c r="I5" s="9"/>
      <c r="J5" s="21" t="s">
        <v>6</v>
      </c>
      <c r="K5" s="22"/>
      <c r="L5" s="22"/>
      <c r="M5" s="9"/>
      <c r="N5" s="9"/>
      <c r="O5" s="9"/>
      <c r="P5" s="23" t="s">
        <v>7</v>
      </c>
      <c r="Q5" s="24"/>
      <c r="R5" s="9"/>
      <c r="S5" s="20"/>
      <c r="T5" s="20"/>
      <c r="U5" s="20"/>
      <c r="V5" s="20"/>
      <c r="W5" s="25"/>
    </row>
    <row r="6" spans="1:26" s="19" customFormat="1" ht="11">
      <c r="A6" s="9"/>
      <c r="B6" s="18" t="s">
        <v>8</v>
      </c>
      <c r="C6" s="20">
        <f>5.56+N6+N7</f>
        <v>6.6099999999999994</v>
      </c>
      <c r="D6" s="20">
        <f>6.78+N6+N7</f>
        <v>7.83</v>
      </c>
      <c r="E6" s="20">
        <f>8.65+N6+N7</f>
        <v>9.7000000000000011</v>
      </c>
      <c r="F6" s="20">
        <f>10.87+N6+N7</f>
        <v>11.92</v>
      </c>
      <c r="G6" s="20">
        <f>13+N6+N7</f>
        <v>14.05</v>
      </c>
      <c r="H6" s="20">
        <f>15.78+N6+N7</f>
        <v>16.830000000000002</v>
      </c>
      <c r="I6" s="9"/>
      <c r="J6" s="22" t="s">
        <v>9</v>
      </c>
      <c r="K6" s="22"/>
      <c r="L6" s="22"/>
      <c r="M6" s="9"/>
      <c r="N6" s="23">
        <v>0.75</v>
      </c>
      <c r="O6" s="23" t="s">
        <v>10</v>
      </c>
      <c r="P6" s="26" t="s">
        <v>11</v>
      </c>
      <c r="Q6" s="20"/>
      <c r="R6" s="27"/>
      <c r="S6" s="20"/>
      <c r="T6" s="20"/>
      <c r="U6" s="9"/>
      <c r="V6" s="9"/>
      <c r="W6" s="25"/>
    </row>
    <row r="7" spans="1:26" s="19" customFormat="1" ht="11">
      <c r="A7" s="9"/>
      <c r="B7" s="18" t="s">
        <v>12</v>
      </c>
      <c r="C7" s="28">
        <f t="shared" ref="C7:D7" si="0">C5/C6</f>
        <v>8.4720121028744337</v>
      </c>
      <c r="D7" s="28">
        <f t="shared" si="0"/>
        <v>8.1736909323116222</v>
      </c>
      <c r="E7" s="28">
        <f>E5/E6</f>
        <v>7.4226804123711334</v>
      </c>
      <c r="F7" s="28">
        <f t="shared" ref="F7:H7" si="1">F5/F6</f>
        <v>6.7953020134228188</v>
      </c>
      <c r="G7" s="28">
        <f t="shared" si="1"/>
        <v>6.4768683274021353</v>
      </c>
      <c r="H7" s="28">
        <f t="shared" si="1"/>
        <v>6.0011883541295301</v>
      </c>
      <c r="I7" s="9"/>
      <c r="J7" s="22" t="s">
        <v>13</v>
      </c>
      <c r="K7" s="22"/>
      <c r="L7" s="22"/>
      <c r="M7" s="9"/>
      <c r="N7" s="29">
        <v>0.3</v>
      </c>
      <c r="O7" s="23" t="s">
        <v>14</v>
      </c>
      <c r="P7" s="30" t="s">
        <v>15</v>
      </c>
      <c r="Q7" s="20"/>
      <c r="R7" s="20"/>
      <c r="S7" s="20"/>
      <c r="T7" s="20"/>
      <c r="U7" s="9"/>
      <c r="V7" s="9"/>
      <c r="W7" s="25"/>
    </row>
    <row r="8" spans="1:26" s="19" customFormat="1" ht="15" customHeight="1">
      <c r="A8" s="9"/>
      <c r="B8" s="31" t="s">
        <v>16</v>
      </c>
      <c r="C8" s="28">
        <f>1/C7*100</f>
        <v>11.803571428571427</v>
      </c>
      <c r="D8" s="28">
        <f t="shared" ref="D8:G8" si="2">1/D7*100</f>
        <v>12.234375</v>
      </c>
      <c r="E8" s="28">
        <f t="shared" si="2"/>
        <v>13.472222222222225</v>
      </c>
      <c r="F8" s="28">
        <f t="shared" si="2"/>
        <v>14.716049382716049</v>
      </c>
      <c r="G8" s="28">
        <f t="shared" si="2"/>
        <v>15.43956043956044</v>
      </c>
      <c r="H8" s="28">
        <f>1/H7*100</f>
        <v>16.663366336633665</v>
      </c>
      <c r="I8" s="9"/>
      <c r="J8" s="32" t="s">
        <v>17</v>
      </c>
      <c r="K8" s="33"/>
      <c r="L8" s="34"/>
      <c r="M8" s="26"/>
      <c r="N8" s="26"/>
      <c r="O8" s="26"/>
      <c r="P8" s="35" t="s">
        <v>18</v>
      </c>
      <c r="Q8" s="24"/>
      <c r="R8" s="9"/>
      <c r="S8" s="20"/>
      <c r="T8" s="20"/>
      <c r="U8" s="20"/>
      <c r="V8" s="20"/>
      <c r="W8" s="25"/>
    </row>
    <row r="9" spans="1:26" s="19" customFormat="1" ht="17" customHeight="1" thickBot="1">
      <c r="A9" s="9"/>
      <c r="B9" s="36" t="s">
        <v>19</v>
      </c>
      <c r="C9" s="37">
        <f t="shared" ref="C9:H9" si="3">C7*$C$11*0.95</f>
        <v>152.91981845688352</v>
      </c>
      <c r="D9" s="37">
        <f t="shared" si="3"/>
        <v>147.53512132822479</v>
      </c>
      <c r="E9" s="37">
        <f t="shared" si="3"/>
        <v>133.97938144329893</v>
      </c>
      <c r="F9" s="37">
        <f t="shared" si="3"/>
        <v>122.65520134228188</v>
      </c>
      <c r="G9" s="37">
        <f t="shared" si="3"/>
        <v>116.90747330960853</v>
      </c>
      <c r="H9" s="37">
        <f t="shared" si="3"/>
        <v>108.32144979203801</v>
      </c>
      <c r="I9" s="38"/>
      <c r="J9" s="39" t="s">
        <v>20</v>
      </c>
      <c r="K9" s="39"/>
      <c r="L9" s="39"/>
      <c r="M9" s="38">
        <v>1.5</v>
      </c>
      <c r="N9" s="38" t="s">
        <v>21</v>
      </c>
      <c r="O9" s="38"/>
      <c r="P9" s="38">
        <v>1</v>
      </c>
      <c r="Q9" s="40" t="s">
        <v>22</v>
      </c>
      <c r="R9" s="41"/>
      <c r="S9" s="41"/>
      <c r="T9" s="42"/>
      <c r="U9" s="43"/>
      <c r="V9" s="43"/>
      <c r="W9" s="43"/>
      <c r="X9" s="18"/>
    </row>
    <row r="10" spans="1:26" ht="7" customHeight="1">
      <c r="B10" s="2"/>
      <c r="C10" s="2"/>
      <c r="D10" s="2"/>
      <c r="E10" s="2"/>
      <c r="F10" s="3"/>
      <c r="G10" s="3"/>
      <c r="H10" s="4"/>
      <c r="I10" s="4"/>
      <c r="J10" s="3"/>
      <c r="K10" s="3"/>
      <c r="L10" s="3"/>
      <c r="M10" s="3"/>
      <c r="N10" s="3"/>
      <c r="O10" s="3"/>
      <c r="P10" s="3"/>
      <c r="Q10" s="3"/>
      <c r="R10" s="5"/>
      <c r="S10" s="3"/>
      <c r="T10" s="2"/>
      <c r="U10" s="2"/>
      <c r="V10" s="2"/>
      <c r="W10" s="3"/>
      <c r="X10" s="3"/>
      <c r="Y10" s="3"/>
    </row>
    <row r="11" spans="1:26" ht="15">
      <c r="B11" s="44" t="s">
        <v>23</v>
      </c>
      <c r="C11" s="45">
        <v>19</v>
      </c>
      <c r="D11" s="2" t="s">
        <v>22</v>
      </c>
      <c r="E11" s="2"/>
      <c r="F11" s="3"/>
      <c r="G11" s="46" t="s">
        <v>24</v>
      </c>
      <c r="H11" s="47"/>
      <c r="I11" s="47"/>
      <c r="J11" s="48"/>
      <c r="K11" s="48"/>
      <c r="L11" s="48"/>
      <c r="M11" s="48"/>
      <c r="N11" s="47"/>
      <c r="O11" s="47"/>
      <c r="P11" s="47"/>
      <c r="Q11" s="47"/>
      <c r="R11" s="47"/>
      <c r="S11" s="49"/>
      <c r="T11" s="47"/>
      <c r="U11" s="50"/>
      <c r="V11" s="51"/>
      <c r="W11" s="2"/>
      <c r="X11" s="3"/>
      <c r="Y11" s="3"/>
    </row>
    <row r="12" spans="1:26" ht="19" customHeight="1">
      <c r="B12" s="3" t="s">
        <v>25</v>
      </c>
      <c r="C12" s="2"/>
      <c r="D12" s="2"/>
      <c r="E12" s="2"/>
      <c r="F12" s="3"/>
      <c r="G12" s="52"/>
      <c r="H12" s="53" t="s">
        <v>26</v>
      </c>
      <c r="I12" s="54"/>
      <c r="J12" s="1"/>
      <c r="K12" s="1"/>
      <c r="L12" s="1"/>
      <c r="M12" s="1"/>
      <c r="N12" s="55" t="s">
        <v>27</v>
      </c>
      <c r="O12" s="1"/>
      <c r="P12" s="1"/>
      <c r="Q12" s="55" t="s">
        <v>28</v>
      </c>
      <c r="R12" s="56"/>
      <c r="S12" s="57"/>
      <c r="T12" s="55" t="s">
        <v>29</v>
      </c>
      <c r="U12" s="56"/>
      <c r="V12" s="58"/>
      <c r="W12" s="3"/>
      <c r="X12" s="3"/>
      <c r="Y12" s="3"/>
    </row>
    <row r="13" spans="1:26" ht="19" customHeight="1">
      <c r="B13" s="3"/>
      <c r="C13" s="2"/>
      <c r="D13" s="2"/>
      <c r="E13" s="2"/>
      <c r="F13" s="3"/>
      <c r="G13" s="59"/>
      <c r="H13" s="60" t="s">
        <v>30</v>
      </c>
      <c r="I13" s="61">
        <f>1.4*0.8</f>
        <v>1.1199999999999999</v>
      </c>
      <c r="J13" s="62" t="s">
        <v>14</v>
      </c>
      <c r="K13" s="63"/>
      <c r="L13" s="63"/>
      <c r="M13" s="63"/>
      <c r="N13" s="64" t="s">
        <v>31</v>
      </c>
      <c r="O13" s="62">
        <v>2.4</v>
      </c>
      <c r="P13" s="62" t="s">
        <v>14</v>
      </c>
      <c r="Q13" s="64" t="s">
        <v>32</v>
      </c>
      <c r="R13" s="61">
        <f>6.6*0.91</f>
        <v>6.0060000000000002</v>
      </c>
      <c r="S13" s="62" t="s">
        <v>14</v>
      </c>
      <c r="T13" s="65" t="s">
        <v>33</v>
      </c>
      <c r="U13" s="66">
        <v>35</v>
      </c>
      <c r="V13" s="67" t="s">
        <v>14</v>
      </c>
      <c r="W13" s="3"/>
      <c r="X13" s="3"/>
      <c r="Y13" s="3"/>
    </row>
    <row r="14" spans="1:26" ht="15" thickBot="1">
      <c r="B14" s="44"/>
      <c r="C14" s="68"/>
      <c r="D14" s="3"/>
      <c r="E14" s="2"/>
      <c r="F14" s="3"/>
      <c r="G14" s="3"/>
      <c r="H14" s="69"/>
      <c r="I14" s="69"/>
      <c r="J14" s="3"/>
      <c r="K14" s="3"/>
      <c r="L14" s="3"/>
      <c r="M14" s="3"/>
      <c r="N14" s="70"/>
      <c r="O14" s="3"/>
      <c r="P14" s="3"/>
      <c r="Q14" s="70"/>
      <c r="R14" s="3"/>
      <c r="S14" s="3"/>
      <c r="T14" s="71"/>
      <c r="U14" s="2"/>
      <c r="V14" s="2"/>
      <c r="W14" s="3"/>
      <c r="X14" s="3"/>
      <c r="Y14" s="3"/>
    </row>
    <row r="15" spans="1:26" ht="21" thickBot="1">
      <c r="B15" s="44"/>
      <c r="C15" s="68"/>
      <c r="D15" s="3"/>
      <c r="E15" s="72" t="s">
        <v>34</v>
      </c>
      <c r="F15" s="73"/>
      <c r="G15" s="73"/>
      <c r="H15" s="74"/>
      <c r="I15" s="74"/>
      <c r="J15" s="73"/>
      <c r="K15" s="73"/>
      <c r="L15" s="73"/>
      <c r="M15" s="73"/>
      <c r="N15" s="75"/>
      <c r="O15" s="73"/>
      <c r="P15" s="73"/>
      <c r="Q15" s="75"/>
      <c r="R15" s="73"/>
      <c r="S15" s="73"/>
      <c r="T15" s="76"/>
      <c r="U15" s="77"/>
      <c r="V15" s="2"/>
      <c r="W15" s="3"/>
      <c r="X15" s="3"/>
      <c r="Y15" s="3"/>
    </row>
    <row r="16" spans="1:26" ht="57" customHeight="1">
      <c r="A16" s="78"/>
      <c r="B16" s="79" t="s">
        <v>35</v>
      </c>
      <c r="C16" s="80" t="s">
        <v>36</v>
      </c>
      <c r="D16" s="80" t="s">
        <v>37</v>
      </c>
      <c r="E16" s="81" t="s">
        <v>38</v>
      </c>
      <c r="F16" s="81" t="s">
        <v>39</v>
      </c>
      <c r="G16" s="81" t="s">
        <v>40</v>
      </c>
      <c r="H16" s="81" t="s">
        <v>41</v>
      </c>
      <c r="I16" s="81" t="s">
        <v>42</v>
      </c>
      <c r="J16" s="81" t="s">
        <v>43</v>
      </c>
      <c r="K16" s="82" t="s">
        <v>12</v>
      </c>
      <c r="L16" s="82" t="s">
        <v>44</v>
      </c>
      <c r="M16" s="82" t="s">
        <v>45</v>
      </c>
      <c r="N16" s="82" t="s">
        <v>46</v>
      </c>
      <c r="O16" s="82" t="s">
        <v>64</v>
      </c>
      <c r="P16" s="81" t="s">
        <v>47</v>
      </c>
      <c r="Q16" s="81" t="s">
        <v>48</v>
      </c>
      <c r="R16" s="81" t="s">
        <v>49</v>
      </c>
      <c r="S16" s="81" t="s">
        <v>50</v>
      </c>
      <c r="T16" s="81" t="s">
        <v>51</v>
      </c>
      <c r="U16" s="83" t="s">
        <v>52</v>
      </c>
      <c r="V16" s="80" t="s">
        <v>53</v>
      </c>
      <c r="W16" s="80" t="s">
        <v>54</v>
      </c>
      <c r="X16" s="80" t="s">
        <v>55</v>
      </c>
      <c r="Y16" s="84" t="s">
        <v>56</v>
      </c>
      <c r="Z16" s="3"/>
    </row>
    <row r="17" spans="2:27" ht="50" customHeight="1">
      <c r="B17" s="90" t="s">
        <v>57</v>
      </c>
      <c r="C17" s="85">
        <v>545</v>
      </c>
      <c r="D17" s="91">
        <f t="shared" ref="D17:D19" si="4">C17+E17-F17</f>
        <v>595</v>
      </c>
      <c r="E17" s="85">
        <v>490</v>
      </c>
      <c r="F17" s="85">
        <v>440</v>
      </c>
      <c r="G17" s="85">
        <v>59</v>
      </c>
      <c r="H17" s="85">
        <v>70</v>
      </c>
      <c r="I17" s="92">
        <f t="shared" ref="I17:I19" si="5">IF(E17="n/a",0,E17/300*$M$9-F17/300*$P$9)</f>
        <v>0.98333333333333361</v>
      </c>
      <c r="J17" s="92">
        <f t="shared" ref="J17:J19" si="6">I17+IF(H17&lt;C$5,G17/$C$7,IF(H17&lt;D$5,G17/$D$7,IF(H17&lt;E$5,G17/$E$7,IF(H17&lt;F$5,G17/$F$7,IF(H17&lt;G$5,G17/$G$7,IF(H17&lt;H$5,G17/$H$7,"Not Valid Speed"))))))</f>
        <v>8.9319444444444454</v>
      </c>
      <c r="K17" s="95">
        <f>G17/J17</f>
        <v>6.6055045871559628</v>
      </c>
      <c r="L17" s="93">
        <f>J17/$C$11</f>
        <v>0.47010233918128658</v>
      </c>
      <c r="M17" s="114">
        <v>1</v>
      </c>
      <c r="N17" s="93">
        <f>M17-L17</f>
        <v>0.52989766081871337</v>
      </c>
      <c r="O17" s="88">
        <v>0.53</v>
      </c>
      <c r="P17" s="85"/>
      <c r="Q17" s="96"/>
      <c r="R17" s="85"/>
      <c r="S17" s="101">
        <v>0.47916666666666669</v>
      </c>
      <c r="T17" s="97">
        <v>3.8194444444444441E-2</v>
      </c>
      <c r="U17" s="98">
        <f t="shared" ref="U17" si="7">S17+T17</f>
        <v>0.51736111111111116</v>
      </c>
      <c r="V17" s="89">
        <v>0.125</v>
      </c>
      <c r="W17" s="99"/>
      <c r="X17" s="99"/>
      <c r="Y17" s="100" t="s">
        <v>58</v>
      </c>
      <c r="Z17" s="3"/>
      <c r="AA17" s="2"/>
    </row>
    <row r="18" spans="2:27" ht="42">
      <c r="B18" s="90" t="s">
        <v>59</v>
      </c>
      <c r="C18" s="85">
        <v>595</v>
      </c>
      <c r="D18" s="91">
        <f t="shared" si="4"/>
        <v>550</v>
      </c>
      <c r="E18" s="85">
        <v>95</v>
      </c>
      <c r="F18" s="85">
        <v>140</v>
      </c>
      <c r="G18" s="85">
        <v>12</v>
      </c>
      <c r="H18" s="85">
        <v>70</v>
      </c>
      <c r="I18" s="92">
        <f t="shared" si="5"/>
        <v>8.3333333333333037E-3</v>
      </c>
      <c r="J18" s="92">
        <f t="shared" si="6"/>
        <v>1.625</v>
      </c>
      <c r="K18" s="95">
        <f>G18/J18</f>
        <v>7.384615384615385</v>
      </c>
      <c r="L18" s="93">
        <f>J18/$C$11</f>
        <v>8.5526315789473686E-2</v>
      </c>
      <c r="M18" s="94">
        <f>O17</f>
        <v>0.53</v>
      </c>
      <c r="N18" s="93">
        <f t="shared" ref="N18:N19" si="8">M18-L18</f>
        <v>0.44447368421052635</v>
      </c>
      <c r="O18" s="88">
        <v>0.5</v>
      </c>
      <c r="P18" s="85" t="s">
        <v>26</v>
      </c>
      <c r="Q18" s="96"/>
      <c r="R18" s="85"/>
      <c r="S18" s="98">
        <f t="shared" ref="S18:S19" si="9">U17+V17</f>
        <v>0.64236111111111116</v>
      </c>
      <c r="T18" s="97">
        <v>6.9444444444444441E-3</v>
      </c>
      <c r="U18" s="98">
        <f>S18+T18</f>
        <v>0.64930555555555558</v>
      </c>
      <c r="V18" s="98">
        <f t="shared" ref="V18:V20" si="10">IF(P18="Level 1",(O18-N18)*$C$11/I$13/24,IF(P18="Level 1.5",(O18-N18)*$C$11/O$13/24,IF(P18="Level 2",(O18-N18)*$C$11/R$13/24,IF(P18="Level 3",(O18-N18)*$C$11/U$13/24,"Not valid charger"))))</f>
        <v>3.9248511904761883E-2</v>
      </c>
      <c r="W18" s="99"/>
      <c r="X18" s="99"/>
      <c r="Y18" s="100" t="s">
        <v>60</v>
      </c>
      <c r="Z18" s="3"/>
      <c r="AA18" s="3"/>
    </row>
    <row r="19" spans="2:27">
      <c r="B19" s="102" t="s">
        <v>61</v>
      </c>
      <c r="C19" s="85">
        <v>550</v>
      </c>
      <c r="D19" s="91">
        <f t="shared" si="4"/>
        <v>545</v>
      </c>
      <c r="E19" s="85">
        <v>370</v>
      </c>
      <c r="F19" s="85">
        <v>375</v>
      </c>
      <c r="G19" s="86">
        <v>47</v>
      </c>
      <c r="H19" s="85">
        <v>70</v>
      </c>
      <c r="I19" s="92">
        <f t="shared" si="5"/>
        <v>0.60000000000000009</v>
      </c>
      <c r="J19" s="103">
        <f t="shared" si="6"/>
        <v>6.9319444444444454</v>
      </c>
      <c r="K19" s="105">
        <f>G19/J19</f>
        <v>6.7802043678621509</v>
      </c>
      <c r="L19" s="104">
        <f>J19/$C$11</f>
        <v>0.36483918128654974</v>
      </c>
      <c r="M19" s="94">
        <f>O18</f>
        <v>0.5</v>
      </c>
      <c r="N19" s="93">
        <f t="shared" si="8"/>
        <v>0.13516081871345026</v>
      </c>
      <c r="O19" s="88">
        <v>1</v>
      </c>
      <c r="P19" s="85"/>
      <c r="Q19" s="106"/>
      <c r="R19" s="85"/>
      <c r="S19" s="98">
        <f t="shared" si="9"/>
        <v>0.68855406746031744</v>
      </c>
      <c r="T19" s="97">
        <v>3.125E-2</v>
      </c>
      <c r="U19" s="107">
        <f t="shared" ref="U19" si="11">S19+T19</f>
        <v>0.71980406746031744</v>
      </c>
      <c r="V19" s="98" t="str">
        <f t="shared" si="10"/>
        <v>Not valid charger</v>
      </c>
      <c r="W19" s="99"/>
      <c r="X19" s="99"/>
      <c r="Y19" s="100"/>
      <c r="Z19" s="3"/>
    </row>
    <row r="20" spans="2:27">
      <c r="B20" s="108" t="s">
        <v>62</v>
      </c>
      <c r="C20" s="85"/>
      <c r="D20" s="91"/>
      <c r="E20" s="85">
        <f>SUM(E17:E19)</f>
        <v>955</v>
      </c>
      <c r="F20" s="85">
        <f t="shared" ref="F20:J20" si="12">SUM(F17:F19)</f>
        <v>955</v>
      </c>
      <c r="G20" s="85">
        <f t="shared" si="12"/>
        <v>118</v>
      </c>
      <c r="H20" s="85"/>
      <c r="I20" s="87">
        <f t="shared" si="12"/>
        <v>1.591666666666667</v>
      </c>
      <c r="J20" s="85">
        <f t="shared" si="12"/>
        <v>17.488888888888891</v>
      </c>
      <c r="K20" s="105">
        <f>G20/J20</f>
        <v>6.7471410419313846</v>
      </c>
      <c r="L20" s="104">
        <f>J20/$C$11</f>
        <v>0.92046783625730999</v>
      </c>
      <c r="M20" s="109"/>
      <c r="N20" s="104"/>
      <c r="O20" s="115"/>
      <c r="P20" s="85" t="s">
        <v>28</v>
      </c>
      <c r="Q20" s="106"/>
      <c r="R20" s="85"/>
      <c r="S20" s="98"/>
      <c r="T20" s="97"/>
      <c r="U20" s="98"/>
      <c r="V20" s="98">
        <f t="shared" si="10"/>
        <v>0</v>
      </c>
      <c r="W20" s="99"/>
      <c r="X20" s="99"/>
      <c r="Y20" s="100" t="s">
        <v>63</v>
      </c>
      <c r="Z20" s="3"/>
    </row>
  </sheetData>
  <pageMargins left="0.7" right="0.7" top="0.75" bottom="0.75" header="0.3" footer="0.3"/>
  <pageSetup paperSize="17" scale="61"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Local Trips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Chewter</dc:creator>
  <cp:lastModifiedBy>Andrew Chewter</cp:lastModifiedBy>
  <dcterms:created xsi:type="dcterms:W3CDTF">2015-10-25T05:51:24Z</dcterms:created>
  <dcterms:modified xsi:type="dcterms:W3CDTF">2015-10-25T06:29:59Z</dcterms:modified>
</cp:coreProperties>
</file>